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65516" windowWidth="9600" windowHeight="9340" activeTab="2"/>
  </bookViews>
  <sheets>
    <sheet name="Entrada de Datos" sheetId="1" r:id="rId1"/>
    <sheet name="Cuentas" sheetId="2" state="hidden" r:id="rId2"/>
    <sheet name="Reporte" sheetId="3" r:id="rId3"/>
  </sheets>
  <definedNames/>
  <calcPr fullCalcOnLoad="1"/>
</workbook>
</file>

<file path=xl/sharedStrings.xml><?xml version="1.0" encoding="utf-8"?>
<sst xmlns="http://schemas.openxmlformats.org/spreadsheetml/2006/main" count="101" uniqueCount="83">
  <si>
    <t>Gasto L.P.S.</t>
  </si>
  <si>
    <t>Diametro pulgadas</t>
  </si>
  <si>
    <t>Coeficiente Hazem Williams</t>
  </si>
  <si>
    <t>Longitud (metros)</t>
  </si>
  <si>
    <t>No. salidas multiples</t>
  </si>
  <si>
    <t>Perdida x Friccion (metros columna de agua)</t>
  </si>
  <si>
    <t>Perdida x Friccion (psi)</t>
  </si>
  <si>
    <t>Gasto</t>
  </si>
  <si>
    <t>Litros</t>
  </si>
  <si>
    <t>Galones</t>
  </si>
  <si>
    <t>/</t>
  </si>
  <si>
    <t>Minuto</t>
  </si>
  <si>
    <t>Segundo</t>
  </si>
  <si>
    <t>Hora</t>
  </si>
  <si>
    <t>Volumen</t>
  </si>
  <si>
    <t>Tiempo</t>
  </si>
  <si>
    <t>Long (Diámetro)</t>
  </si>
  <si>
    <t xml:space="preserve">Longitud </t>
  </si>
  <si>
    <t>mm</t>
  </si>
  <si>
    <t>cm</t>
  </si>
  <si>
    <t>m</t>
  </si>
  <si>
    <t>1/16 In</t>
  </si>
  <si>
    <t>In</t>
  </si>
  <si>
    <t xml:space="preserve">m </t>
  </si>
  <si>
    <t>Km</t>
  </si>
  <si>
    <t>Mi</t>
  </si>
  <si>
    <t>ft</t>
  </si>
  <si>
    <t>Salidas</t>
  </si>
  <si>
    <t>Materiales</t>
  </si>
  <si>
    <t>PVC</t>
  </si>
  <si>
    <t>Polietileno</t>
  </si>
  <si>
    <t>Cobre</t>
  </si>
  <si>
    <t>Aluminio</t>
  </si>
  <si>
    <t>Fierro</t>
  </si>
  <si>
    <t>Diámetro de Tubería</t>
  </si>
  <si>
    <t>Material</t>
  </si>
  <si>
    <t>Longitud de Tubería</t>
  </si>
  <si>
    <t>Perdida de Presión por Fricción</t>
  </si>
  <si>
    <t>Metros de Columna de Agua</t>
  </si>
  <si>
    <t>PSI</t>
  </si>
  <si>
    <t xml:space="preserve">Dar Resultado en </t>
  </si>
  <si>
    <t>Rsultados</t>
  </si>
  <si>
    <t>Bar</t>
  </si>
  <si>
    <t>mm Hg</t>
  </si>
  <si>
    <t>In Hg</t>
  </si>
  <si>
    <t>Atm</t>
  </si>
  <si>
    <t>Kg/cm^2</t>
  </si>
  <si>
    <t>Kg/m^2</t>
  </si>
  <si>
    <t>mm H2O</t>
  </si>
  <si>
    <t>In H2O</t>
  </si>
  <si>
    <t>Diámetro</t>
  </si>
  <si>
    <t>Coeficiente</t>
  </si>
  <si>
    <t>Longitud</t>
  </si>
  <si>
    <t xml:space="preserve">                                                 </t>
  </si>
  <si>
    <t>Diámetro Nominal</t>
  </si>
  <si>
    <t>RD21</t>
  </si>
  <si>
    <t>RD26</t>
  </si>
  <si>
    <t>RD32.5</t>
  </si>
  <si>
    <t>RD41</t>
  </si>
  <si>
    <t>Promedio</t>
  </si>
  <si>
    <t>Inglés</t>
  </si>
  <si>
    <t>Métrico</t>
  </si>
  <si>
    <t>Diámetro Interior (mm)</t>
  </si>
  <si>
    <t>Clase 10</t>
  </si>
  <si>
    <t>Clase 7</t>
  </si>
  <si>
    <t>Clase 5</t>
  </si>
  <si>
    <t>Clase 3.5</t>
  </si>
  <si>
    <t>Área Interna P en m2</t>
  </si>
  <si>
    <t>Vel en m/s</t>
  </si>
  <si>
    <t>Re</t>
  </si>
  <si>
    <t>Velocidad en m/s</t>
  </si>
  <si>
    <t>Tipo de Flujo</t>
  </si>
  <si>
    <t>1.5"</t>
  </si>
  <si>
    <t>2"</t>
  </si>
  <si>
    <t>2.5"</t>
  </si>
  <si>
    <t>3"</t>
  </si>
  <si>
    <t>4"</t>
  </si>
  <si>
    <t>6"</t>
  </si>
  <si>
    <t>8"</t>
  </si>
  <si>
    <t>100mm</t>
  </si>
  <si>
    <t>160mm</t>
  </si>
  <si>
    <t>200mm</t>
  </si>
  <si>
    <t>250mm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</si>
</sst>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0.0"/>
    <numFmt numFmtId="187" formatCode="0.00000000"/>
  </numFmts>
  <fonts count="56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8.75"/>
      <color indexed="8"/>
      <name val="Arial"/>
      <family val="0"/>
    </font>
    <font>
      <sz val="9.75"/>
      <color indexed="8"/>
      <name val="Arial"/>
      <family val="0"/>
    </font>
    <font>
      <sz val="10.2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name val="Geneva"/>
      <family val="0"/>
    </font>
    <font>
      <b/>
      <sz val="9.75"/>
      <color indexed="8"/>
      <name val="Arial"/>
      <family val="0"/>
    </font>
    <font>
      <b/>
      <sz val="11.25"/>
      <color indexed="8"/>
      <name val="Arial"/>
      <family val="0"/>
    </font>
    <font>
      <b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7" fillId="33" borderId="0" xfId="50" applyFill="1" applyAlignment="1" applyProtection="1">
      <alignment/>
      <protection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8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20" xfId="0" applyFont="1" applyFill="1" applyBorder="1" applyAlignment="1">
      <alignment horizontal="center"/>
    </xf>
    <xf numFmtId="186" fontId="10" fillId="33" borderId="20" xfId="0" applyNumberFormat="1" applyFont="1" applyFill="1" applyBorder="1" applyAlignment="1">
      <alignment horizontal="center"/>
    </xf>
    <xf numFmtId="1" fontId="10" fillId="33" borderId="20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186" fontId="10" fillId="33" borderId="21" xfId="0" applyNumberFormat="1" applyFont="1" applyFill="1" applyBorder="1" applyAlignment="1">
      <alignment horizontal="center"/>
    </xf>
    <xf numFmtId="1" fontId="10" fillId="33" borderId="21" xfId="0" applyNumberFormat="1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9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Ca?da de Presi?n variando Gasto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4"/>
          <c:w val="0.939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Cuentas!$B$14</c:f>
              <c:strCache>
                <c:ptCount val="1"/>
                <c:pt idx="0">
                  <c:v>PSI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Cuentas!$A$15:$A$20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cat>
          <c:val>
            <c:numRef>
              <c:f>Cuentas!$B$15:$B$20</c:f>
              <c:numCache>
                <c:ptCount val="6"/>
                <c:pt idx="0">
                  <c:v>0.02098148826259881</c:v>
                </c:pt>
                <c:pt idx="1">
                  <c:v>0.07574323368095946</c:v>
                </c:pt>
                <c:pt idx="2">
                  <c:v>0.16049623691333495</c:v>
                </c:pt>
                <c:pt idx="3">
                  <c:v>0.27343329398969096</c:v>
                </c:pt>
                <c:pt idx="4">
                  <c:v>0.41336027592122304</c:v>
                </c:pt>
                <c:pt idx="5">
                  <c:v>0.5793918822770691</c:v>
                </c:pt>
              </c:numCache>
            </c:numRef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Gasto en L/S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Presi?n (PSI)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0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Ca?da de Presi?n variando Di?metro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2"/>
          <c:w val="0.934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Cuentas!$D$14</c:f>
              <c:strCache>
                <c:ptCount val="1"/>
                <c:pt idx="0">
                  <c:v>PSI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Cuentas!$C$15:$C$17</c:f>
              <c:numCache>
                <c:ptCount val="3"/>
                <c:pt idx="0">
                  <c:v>4</c:v>
                </c:pt>
                <c:pt idx="1">
                  <c:v>6</c:v>
                </c:pt>
                <c:pt idx="2">
                  <c:v>8</c:v>
                </c:pt>
              </c:numCache>
            </c:numRef>
          </c:cat>
          <c:val>
            <c:numRef>
              <c:f>Cuentas!$D$15:$D$17</c:f>
              <c:numCache>
                <c:ptCount val="3"/>
                <c:pt idx="0">
                  <c:v>1.1561902048431505</c:v>
                </c:pt>
                <c:pt idx="1">
                  <c:v>0.16049623691333495</c:v>
                </c:pt>
                <c:pt idx="2">
                  <c:v>0.039537864331850796</c:v>
                </c:pt>
              </c:numCache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Di?metro en Pulgadas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Presi?n (PSI)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Ca?da de Presi?n variando 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Material de la Tuber?a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85"/>
          <c:w val="0.939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Cuentas!$D$14</c:f>
              <c:strCache>
                <c:ptCount val="1"/>
                <c:pt idx="0">
                  <c:v>PSI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Cuentas!$E$19:$E$21</c:f>
              <c:strCache>
                <c:ptCount val="3"/>
                <c:pt idx="0">
                  <c:v>Polietileno</c:v>
                </c:pt>
                <c:pt idx="1">
                  <c:v>PVC</c:v>
                </c:pt>
                <c:pt idx="2">
                  <c:v>#N/A</c:v>
                </c:pt>
              </c:strCache>
            </c:strRef>
          </c:cat>
          <c:val>
            <c:numRef>
              <c:f>Cuentas!$F$15:$F$17</c:f>
              <c:numCache>
                <c:ptCount val="3"/>
                <c:pt idx="0">
                  <c:v>0.18237140495425033</c:v>
                </c:pt>
                <c:pt idx="1">
                  <c:v>0.16049623691333495</c:v>
                </c:pt>
                <c:pt idx="2">
                  <c:v>0.14241497502277872</c:v>
                </c:pt>
              </c:numCache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 de la Tuber?a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Presi?n (PSI)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58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Ca?da de Presi?n variando 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Longitud de la Tuber?a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4175"/>
          <c:w val="0.9535"/>
          <c:h val="0.7785"/>
        </c:manualLayout>
      </c:layout>
      <c:lineChart>
        <c:grouping val="standard"/>
        <c:varyColors val="0"/>
        <c:ser>
          <c:idx val="1"/>
          <c:order val="0"/>
          <c:tx>
            <c:strRef>
              <c:f>Cuentas!$B$14</c:f>
              <c:strCache>
                <c:ptCount val="1"/>
                <c:pt idx="0">
                  <c:v>PSI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Cuentas!$G$15:$G$21</c:f>
              <c:numCache>
                <c:ptCount val="7"/>
                <c:pt idx="0">
                  <c:v>29</c:v>
                </c:pt>
                <c:pt idx="1">
                  <c:v>58</c:v>
                </c:pt>
                <c:pt idx="2">
                  <c:v>87</c:v>
                </c:pt>
                <c:pt idx="3">
                  <c:v>116</c:v>
                </c:pt>
                <c:pt idx="4">
                  <c:v>145</c:v>
                </c:pt>
                <c:pt idx="5">
                  <c:v>174</c:v>
                </c:pt>
                <c:pt idx="6">
                  <c:v>232</c:v>
                </c:pt>
              </c:numCache>
            </c:numRef>
          </c:cat>
          <c:val>
            <c:numRef>
              <c:f>Cuentas!$H$15:$H$21</c:f>
              <c:numCache>
                <c:ptCount val="7"/>
                <c:pt idx="0">
                  <c:v>0.04012405922833374</c:v>
                </c:pt>
                <c:pt idx="1">
                  <c:v>0.08024811845666747</c:v>
                </c:pt>
                <c:pt idx="2">
                  <c:v>0.1203721776850012</c:v>
                </c:pt>
                <c:pt idx="3">
                  <c:v>0.16049623691333495</c:v>
                </c:pt>
                <c:pt idx="4">
                  <c:v>0.20062029614166868</c:v>
                </c:pt>
                <c:pt idx="5">
                  <c:v>0.2407443553700024</c:v>
                </c:pt>
                <c:pt idx="6">
                  <c:v>0.3209924738266699</c:v>
                </c:pt>
              </c:numCache>
            </c:numRef>
          </c:val>
          <c:smooth val="0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 en Metros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Presi?n (PSI)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Ca?da de Presi?n variando 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Salidas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95"/>
          <c:w val="0.92675"/>
          <c:h val="0.82325"/>
        </c:manualLayout>
      </c:layout>
      <c:lineChart>
        <c:grouping val="standard"/>
        <c:varyColors val="0"/>
        <c:ser>
          <c:idx val="1"/>
          <c:order val="0"/>
          <c:tx>
            <c:strRef>
              <c:f>Cuentas!$B$14</c:f>
              <c:strCache>
                <c:ptCount val="1"/>
                <c:pt idx="0">
                  <c:v>PSI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Cuentas!$I$15:$I$20</c:f>
              <c:numCache>
                <c:ptCount val="6"/>
                <c:pt idx="0">
                  <c:v>55.23809523809524</c:v>
                </c:pt>
                <c:pt idx="1">
                  <c:v>110.47619047619048</c:v>
                </c:pt>
                <c:pt idx="2">
                  <c:v>165.71428571428572</c:v>
                </c:pt>
                <c:pt idx="3">
                  <c:v>220.95238095238096</c:v>
                </c:pt>
                <c:pt idx="4">
                  <c:v>276.1904761904762</c:v>
                </c:pt>
                <c:pt idx="5">
                  <c:v>331.42857142857144</c:v>
                </c:pt>
              </c:numCache>
            </c:numRef>
          </c:cat>
          <c:val>
            <c:numRef>
              <c:f>Cuentas!$K$15:$K$20</c:f>
              <c:numCache>
                <c:ptCount val="6"/>
                <c:pt idx="0">
                  <c:v>0.163301986756217</c:v>
                </c:pt>
                <c:pt idx="1">
                  <c:v>0.16119568183307392</c:v>
                </c:pt>
                <c:pt idx="2">
                  <c:v>0.16049623691333495</c:v>
                </c:pt>
                <c:pt idx="3">
                  <c:v>0.1601470125887108</c:v>
                </c:pt>
                <c:pt idx="4">
                  <c:v>0.15993763739721484</c:v>
                </c:pt>
                <c:pt idx="5">
                  <c:v>0.15979812035425028</c:v>
                </c:pt>
              </c:numCache>
            </c:numRef>
          </c:val>
          <c:smooth val="0"/>
        </c:ser>
        <c:marker val="1"/>
        <c:axId val="35283848"/>
        <c:axId val="49119177"/>
      </c:lineChart>
      <c:catAx>
        <c:axId val="35283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Salidas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Presi?n (PSI)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2</xdr:row>
      <xdr:rowOff>66675</xdr:rowOff>
    </xdr:from>
    <xdr:to>
      <xdr:col>8</xdr:col>
      <xdr:colOff>381000</xdr:colOff>
      <xdr:row>36</xdr:row>
      <xdr:rowOff>38100</xdr:rowOff>
    </xdr:to>
    <xdr:pic>
      <xdr:nvPicPr>
        <xdr:cNvPr id="1" name="Picture 17" descr="LOGO DAPPSA DIG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90525"/>
          <a:ext cx="5153025" cy="643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33</xdr:row>
      <xdr:rowOff>104775</xdr:rowOff>
    </xdr:from>
    <xdr:to>
      <xdr:col>20</xdr:col>
      <xdr:colOff>342900</xdr:colOff>
      <xdr:row>77</xdr:row>
      <xdr:rowOff>104775</xdr:rowOff>
    </xdr:to>
    <xdr:pic>
      <xdr:nvPicPr>
        <xdr:cNvPr id="1" name="Picture 9" descr="LOGO DAPPSA DIG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5619750"/>
          <a:ext cx="6810375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9525</xdr:rowOff>
    </xdr:from>
    <xdr:to>
      <xdr:col>4</xdr:col>
      <xdr:colOff>0</xdr:colOff>
      <xdr:row>20</xdr:row>
      <xdr:rowOff>133350</xdr:rowOff>
    </xdr:to>
    <xdr:graphicFrame>
      <xdr:nvGraphicFramePr>
        <xdr:cNvPr id="2" name="Gráfico 2"/>
        <xdr:cNvGraphicFramePr/>
      </xdr:nvGraphicFramePr>
      <xdr:xfrm>
        <a:off x="28575" y="990600"/>
        <a:ext cx="40100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5</xdr:row>
      <xdr:rowOff>28575</xdr:rowOff>
    </xdr:from>
    <xdr:to>
      <xdr:col>10</xdr:col>
      <xdr:colOff>57150</xdr:colOff>
      <xdr:row>20</xdr:row>
      <xdr:rowOff>152400</xdr:rowOff>
    </xdr:to>
    <xdr:graphicFrame>
      <xdr:nvGraphicFramePr>
        <xdr:cNvPr id="3" name="Gráfico 3"/>
        <xdr:cNvGraphicFramePr/>
      </xdr:nvGraphicFramePr>
      <xdr:xfrm>
        <a:off x="4124325" y="1009650"/>
        <a:ext cx="42100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5</xdr:row>
      <xdr:rowOff>0</xdr:rowOff>
    </xdr:from>
    <xdr:to>
      <xdr:col>17</xdr:col>
      <xdr:colOff>361950</xdr:colOff>
      <xdr:row>20</xdr:row>
      <xdr:rowOff>123825</xdr:rowOff>
    </xdr:to>
    <xdr:graphicFrame>
      <xdr:nvGraphicFramePr>
        <xdr:cNvPr id="4" name="Gráfico 4"/>
        <xdr:cNvGraphicFramePr/>
      </xdr:nvGraphicFramePr>
      <xdr:xfrm>
        <a:off x="8420100" y="981075"/>
        <a:ext cx="419100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1133475</xdr:colOff>
      <xdr:row>21</xdr:row>
      <xdr:rowOff>66675</xdr:rowOff>
    </xdr:from>
    <xdr:to>
      <xdr:col>6</xdr:col>
      <xdr:colOff>152400</xdr:colOff>
      <xdr:row>37</xdr:row>
      <xdr:rowOff>0</xdr:rowOff>
    </xdr:to>
    <xdr:graphicFrame>
      <xdr:nvGraphicFramePr>
        <xdr:cNvPr id="5" name="Gráfico 5"/>
        <xdr:cNvGraphicFramePr/>
      </xdr:nvGraphicFramePr>
      <xdr:xfrm>
        <a:off x="1133475" y="3638550"/>
        <a:ext cx="504825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314325</xdr:colOff>
      <xdr:row>21</xdr:row>
      <xdr:rowOff>85725</xdr:rowOff>
    </xdr:from>
    <xdr:to>
      <xdr:col>14</xdr:col>
      <xdr:colOff>428625</xdr:colOff>
      <xdr:row>37</xdr:row>
      <xdr:rowOff>0</xdr:rowOff>
    </xdr:to>
    <xdr:graphicFrame>
      <xdr:nvGraphicFramePr>
        <xdr:cNvPr id="6" name="Gráfico 6"/>
        <xdr:cNvGraphicFramePr/>
      </xdr:nvGraphicFramePr>
      <xdr:xfrm>
        <a:off x="6343650" y="3657600"/>
        <a:ext cx="45053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28575</xdr:colOff>
      <xdr:row>25</xdr:row>
      <xdr:rowOff>0</xdr:rowOff>
    </xdr:from>
    <xdr:to>
      <xdr:col>0</xdr:col>
      <xdr:colOff>1009650</xdr:colOff>
      <xdr:row>32</xdr:row>
      <xdr:rowOff>66675</xdr:rowOff>
    </xdr:to>
    <xdr:pic>
      <xdr:nvPicPr>
        <xdr:cNvPr id="7" name="Picture 7" descr="LOGO DAPPSA DIG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19575"/>
          <a:ext cx="97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2</xdr:row>
      <xdr:rowOff>76200</xdr:rowOff>
    </xdr:from>
    <xdr:to>
      <xdr:col>20</xdr:col>
      <xdr:colOff>47625</xdr:colOff>
      <xdr:row>8</xdr:row>
      <xdr:rowOff>104775</xdr:rowOff>
    </xdr:to>
    <xdr:pic>
      <xdr:nvPicPr>
        <xdr:cNvPr id="8" name="Picture 11" descr="LOGO DAPPSA DIG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371475"/>
          <a:ext cx="952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27</xdr:row>
      <xdr:rowOff>0</xdr:rowOff>
    </xdr:from>
    <xdr:to>
      <xdr:col>17</xdr:col>
      <xdr:colOff>238125</xdr:colOff>
      <xdr:row>34</xdr:row>
      <xdr:rowOff>66675</xdr:rowOff>
    </xdr:to>
    <xdr:pic>
      <xdr:nvPicPr>
        <xdr:cNvPr id="9" name="Picture 12" descr="LOGO DAPPSA DIG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4543425"/>
          <a:ext cx="952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E11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35.7109375" style="17" bestFit="1" customWidth="1"/>
    <col min="2" max="2" width="9.140625" style="17" customWidth="1"/>
    <col min="3" max="3" width="12.00390625" style="17" customWidth="1"/>
    <col min="4" max="4" width="2.421875" style="17" customWidth="1"/>
    <col min="5" max="5" width="11.421875" style="17" customWidth="1"/>
    <col min="6" max="7" width="9.140625" style="17" customWidth="1"/>
    <col min="8" max="8" width="69.28125" style="17" customWidth="1"/>
    <col min="9" max="14" width="9.140625" style="17" customWidth="1"/>
  </cols>
  <sheetData>
    <row r="1" ht="12.75"/>
    <row r="2" ht="12.75"/>
    <row r="3" spans="1:5" ht="24.75" customHeight="1">
      <c r="A3" s="18" t="s">
        <v>7</v>
      </c>
      <c r="B3" s="17">
        <v>15</v>
      </c>
      <c r="C3" s="17">
        <v>1</v>
      </c>
      <c r="D3" s="19" t="s">
        <v>10</v>
      </c>
      <c r="E3" s="17">
        <v>1</v>
      </c>
    </row>
    <row r="4" spans="1:3" ht="24.75" customHeight="1">
      <c r="A4" s="18" t="s">
        <v>34</v>
      </c>
      <c r="B4" s="17">
        <v>6</v>
      </c>
      <c r="C4" s="17">
        <v>5</v>
      </c>
    </row>
    <row r="5" spans="1:3" ht="24.75" customHeight="1">
      <c r="A5" s="18" t="s">
        <v>35</v>
      </c>
      <c r="C5" s="17">
        <v>1</v>
      </c>
    </row>
    <row r="6" spans="1:3" ht="24.75" customHeight="1">
      <c r="A6" s="18" t="s">
        <v>36</v>
      </c>
      <c r="B6" s="17">
        <v>116</v>
      </c>
      <c r="C6" s="17">
        <v>3</v>
      </c>
    </row>
    <row r="7" spans="1:3" ht="28.5" customHeight="1">
      <c r="A7" s="18" t="s">
        <v>4</v>
      </c>
      <c r="B7" s="17">
        <f>+B6/0.7</f>
        <v>165.71428571428572</v>
      </c>
      <c r="C7" s="20" t="s">
        <v>27</v>
      </c>
    </row>
    <row r="8" spans="1:2" ht="24.75" customHeight="1">
      <c r="A8" s="18" t="s">
        <v>40</v>
      </c>
      <c r="B8" s="17">
        <v>8</v>
      </c>
    </row>
    <row r="9" ht="12.75"/>
    <row r="10" ht="12.75"/>
    <row r="11" ht="12.75">
      <c r="B11" s="21"/>
    </row>
    <row r="12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 selectLockedCells="1"/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V40"/>
  <sheetViews>
    <sheetView workbookViewId="0" topLeftCell="A1">
      <selection activeCell="I37" sqref="I37:K40"/>
    </sheetView>
  </sheetViews>
  <sheetFormatPr defaultColWidth="9.140625" defaultRowHeight="12.75"/>
  <cols>
    <col min="1" max="1" width="10.8515625" style="0" customWidth="1"/>
    <col min="2" max="2" width="9.421875" style="0" bestFit="1" customWidth="1"/>
    <col min="3" max="4" width="9.140625" style="0" customWidth="1"/>
    <col min="5" max="5" width="10.140625" style="0" bestFit="1" customWidth="1"/>
    <col min="6" max="7" width="9.140625" style="0" customWidth="1"/>
    <col min="8" max="8" width="8.28125" style="0" bestFit="1" customWidth="1"/>
    <col min="9" max="9" width="7.00390625" style="0" bestFit="1" customWidth="1"/>
    <col min="10" max="10" width="2.00390625" style="0" bestFit="1" customWidth="1"/>
    <col min="11" max="11" width="12.421875" style="0" bestFit="1" customWidth="1"/>
    <col min="12" max="12" width="4.140625" style="0" bestFit="1" customWidth="1"/>
    <col min="13" max="13" width="2.00390625" style="0" bestFit="1" customWidth="1"/>
    <col min="14" max="14" width="9.421875" style="0" customWidth="1"/>
    <col min="15" max="15" width="4.00390625" style="0" bestFit="1" customWidth="1"/>
    <col min="16" max="16" width="9.421875" style="0" bestFit="1" customWidth="1"/>
    <col min="17" max="17" width="2.00390625" style="0" bestFit="1" customWidth="1"/>
    <col min="18" max="18" width="4.00390625" style="0" bestFit="1" customWidth="1"/>
    <col min="19" max="19" width="2.00390625" style="0" bestFit="1" customWidth="1"/>
    <col min="20" max="20" width="8.140625" style="0" bestFit="1" customWidth="1"/>
    <col min="21" max="21" width="2.00390625" style="0" bestFit="1" customWidth="1"/>
  </cols>
  <sheetData>
    <row r="1" spans="1:22" ht="12.75" thickBot="1">
      <c r="A1">
        <f>'Entrada de Datos'!B3</f>
        <v>15</v>
      </c>
      <c r="B1">
        <f>A1*(IF('Entrada de Datos'!C3=1,1,3.785))/(IF('Entrada de Datos'!E3=1,1,(IF('Entrada de Datos'!E3=2,60,3600))))</f>
        <v>15</v>
      </c>
      <c r="C1" t="s">
        <v>0</v>
      </c>
      <c r="G1" s="11" t="s">
        <v>14</v>
      </c>
      <c r="H1" s="11" t="s">
        <v>15</v>
      </c>
      <c r="I1" s="36" t="s">
        <v>16</v>
      </c>
      <c r="J1" s="37"/>
      <c r="K1" s="38"/>
      <c r="L1" s="36" t="s">
        <v>17</v>
      </c>
      <c r="M1" s="37"/>
      <c r="N1" s="37"/>
      <c r="O1" s="41" t="s">
        <v>28</v>
      </c>
      <c r="P1" s="39"/>
      <c r="Q1" s="39"/>
      <c r="R1" s="40"/>
      <c r="S1" s="3"/>
      <c r="T1" s="39" t="s">
        <v>41</v>
      </c>
      <c r="U1" s="39"/>
      <c r="V1" s="40"/>
    </row>
    <row r="2" spans="1:22" ht="12">
      <c r="A2">
        <f>'Entrada de Datos'!B4</f>
        <v>6</v>
      </c>
      <c r="B2">
        <f>A2*(VLOOKUP('Entrada de Datos'!C4,J2:K6,2,TRUE))</f>
        <v>6</v>
      </c>
      <c r="C2" t="s">
        <v>1</v>
      </c>
      <c r="G2" s="9" t="s">
        <v>8</v>
      </c>
      <c r="H2" s="9" t="s">
        <v>12</v>
      </c>
      <c r="I2" s="4" t="s">
        <v>18</v>
      </c>
      <c r="J2" s="2">
        <v>1</v>
      </c>
      <c r="K2" s="5">
        <f>1/25.4</f>
        <v>0.03937007874015748</v>
      </c>
      <c r="L2" s="12" t="s">
        <v>18</v>
      </c>
      <c r="M2" s="2">
        <v>1</v>
      </c>
      <c r="N2" s="14">
        <f>1/1000</f>
        <v>0.001</v>
      </c>
      <c r="O2" s="4">
        <v>150</v>
      </c>
      <c r="P2" s="2" t="s">
        <v>29</v>
      </c>
      <c r="Q2" s="2">
        <v>1</v>
      </c>
      <c r="R2" s="5">
        <v>150</v>
      </c>
      <c r="S2" s="2">
        <v>1</v>
      </c>
      <c r="T2" s="2" t="s">
        <v>42</v>
      </c>
      <c r="U2" s="2">
        <v>1</v>
      </c>
      <c r="V2" s="5">
        <v>0.0689476</v>
      </c>
    </row>
    <row r="3" spans="1:22" ht="12.75" thickBot="1">
      <c r="A3">
        <v>1</v>
      </c>
      <c r="B3">
        <f>(VLOOKUP('Entrada de Datos'!C5,Q2:R6,2,TRUE))</f>
        <v>150</v>
      </c>
      <c r="C3" t="s">
        <v>2</v>
      </c>
      <c r="G3" s="10" t="s">
        <v>9</v>
      </c>
      <c r="H3" s="9" t="s">
        <v>11</v>
      </c>
      <c r="I3" s="4" t="s">
        <v>19</v>
      </c>
      <c r="J3" s="2">
        <v>2</v>
      </c>
      <c r="K3" s="5">
        <f>1/2.54</f>
        <v>0.39370078740157477</v>
      </c>
      <c r="L3" s="4" t="s">
        <v>19</v>
      </c>
      <c r="M3" s="2">
        <v>2</v>
      </c>
      <c r="N3" s="2">
        <f>1/100</f>
        <v>0.01</v>
      </c>
      <c r="O3" s="4">
        <v>140</v>
      </c>
      <c r="P3" s="2" t="s">
        <v>30</v>
      </c>
      <c r="Q3" s="2">
        <v>2</v>
      </c>
      <c r="R3" s="5">
        <v>140</v>
      </c>
      <c r="S3" s="2">
        <v>2</v>
      </c>
      <c r="T3" s="2" t="s">
        <v>43</v>
      </c>
      <c r="U3" s="2">
        <v>2</v>
      </c>
      <c r="V3" s="5">
        <v>51.7150774</v>
      </c>
    </row>
    <row r="4" spans="1:22" ht="12.75" thickBot="1">
      <c r="A4">
        <f>'Entrada de Datos'!B6</f>
        <v>116</v>
      </c>
      <c r="B4">
        <f>A4*(VLOOKUP('Entrada de Datos'!C6,M2:N7,2,TRUE))</f>
        <v>116</v>
      </c>
      <c r="C4" t="s">
        <v>3</v>
      </c>
      <c r="H4" s="10" t="s">
        <v>13</v>
      </c>
      <c r="I4" s="4" t="s">
        <v>20</v>
      </c>
      <c r="J4" s="2">
        <v>3</v>
      </c>
      <c r="K4" s="5">
        <f>100/2.54</f>
        <v>39.37007874015748</v>
      </c>
      <c r="L4" s="4" t="s">
        <v>23</v>
      </c>
      <c r="M4" s="2">
        <v>3</v>
      </c>
      <c r="N4" s="2">
        <v>1</v>
      </c>
      <c r="O4" s="4">
        <v>130</v>
      </c>
      <c r="P4" s="2" t="s">
        <v>31</v>
      </c>
      <c r="Q4" s="2">
        <v>3</v>
      </c>
      <c r="R4" s="5">
        <v>130</v>
      </c>
      <c r="S4" s="2">
        <v>3</v>
      </c>
      <c r="T4" s="2" t="s">
        <v>44</v>
      </c>
      <c r="U4" s="2">
        <v>3</v>
      </c>
      <c r="V4" s="5">
        <v>2.0417727</v>
      </c>
    </row>
    <row r="5" spans="1:22" ht="12">
      <c r="A5">
        <f>'Entrada de Datos'!B7</f>
        <v>165.71428571428572</v>
      </c>
      <c r="B5">
        <f>A5</f>
        <v>165.71428571428572</v>
      </c>
      <c r="C5" t="s">
        <v>4</v>
      </c>
      <c r="I5" s="4" t="s">
        <v>21</v>
      </c>
      <c r="J5" s="2">
        <v>4</v>
      </c>
      <c r="K5" s="5">
        <f>1/16</f>
        <v>0.0625</v>
      </c>
      <c r="L5" s="4" t="s">
        <v>24</v>
      </c>
      <c r="M5" s="2">
        <v>4</v>
      </c>
      <c r="N5" s="2">
        <v>1000</v>
      </c>
      <c r="O5" s="4">
        <v>120</v>
      </c>
      <c r="P5" s="2" t="s">
        <v>32</v>
      </c>
      <c r="Q5" s="2">
        <v>4</v>
      </c>
      <c r="R5" s="5">
        <v>120</v>
      </c>
      <c r="S5" s="2">
        <v>4</v>
      </c>
      <c r="T5" s="2" t="s">
        <v>48</v>
      </c>
      <c r="U5" s="2">
        <v>4</v>
      </c>
      <c r="V5" s="5">
        <v>703.0871568</v>
      </c>
    </row>
    <row r="6" spans="2:22" ht="12.75" thickBot="1">
      <c r="B6" s="1">
        <f>(1742.7904*POWER(B1/B3,1.852)*POWER(B2,-4.87)*B4)*(0.3448+0.5/B5+0.15811/POWER(B5,2))</f>
        <v>0.16049623691333495</v>
      </c>
      <c r="C6" t="s">
        <v>5</v>
      </c>
      <c r="I6" s="6" t="s">
        <v>22</v>
      </c>
      <c r="J6" s="7">
        <v>5</v>
      </c>
      <c r="K6" s="8">
        <v>1</v>
      </c>
      <c r="L6" s="4" t="s">
        <v>26</v>
      </c>
      <c r="M6" s="2">
        <v>5</v>
      </c>
      <c r="N6" s="2">
        <f>0.3048</f>
        <v>0.3048</v>
      </c>
      <c r="O6" s="6">
        <v>100</v>
      </c>
      <c r="P6" s="7" t="s">
        <v>33</v>
      </c>
      <c r="Q6" s="7">
        <v>5</v>
      </c>
      <c r="R6" s="8">
        <v>100</v>
      </c>
      <c r="S6" s="2">
        <v>5</v>
      </c>
      <c r="T6" s="2" t="s">
        <v>49</v>
      </c>
      <c r="U6" s="2">
        <v>5</v>
      </c>
      <c r="V6" s="5">
        <v>27.6805967</v>
      </c>
    </row>
    <row r="7" spans="2:22" ht="12.75" thickBot="1">
      <c r="B7" s="1">
        <f>B6/0.70307</f>
        <v>0.22827917122524777</v>
      </c>
      <c r="C7" t="s">
        <v>6</v>
      </c>
      <c r="L7" s="6" t="s">
        <v>25</v>
      </c>
      <c r="M7" s="7">
        <v>6</v>
      </c>
      <c r="N7" s="8">
        <f>1609.344</f>
        <v>1609.344</v>
      </c>
      <c r="O7" s="2"/>
      <c r="S7" s="4">
        <v>6</v>
      </c>
      <c r="T7" s="2" t="s">
        <v>39</v>
      </c>
      <c r="U7" s="2">
        <v>6</v>
      </c>
      <c r="V7" s="5">
        <v>1</v>
      </c>
    </row>
    <row r="8" spans="19:22" ht="12">
      <c r="S8" s="4">
        <v>7</v>
      </c>
      <c r="T8" s="2" t="s">
        <v>45</v>
      </c>
      <c r="U8" s="2">
        <v>7</v>
      </c>
      <c r="V8" s="5">
        <v>0.068046</v>
      </c>
    </row>
    <row r="9" spans="2:22" ht="12">
      <c r="B9">
        <f>B7*(VLOOKUP('Entrada de Datos'!B8,U2:V10,2,TRUE))</f>
        <v>0.016049623691333493</v>
      </c>
      <c r="C9" t="str">
        <f>(VLOOKUP('Entrada de Datos'!B8,S2:T10,2,TRUE))</f>
        <v>Kg/cm^2</v>
      </c>
      <c r="S9" s="4">
        <v>8</v>
      </c>
      <c r="T9" s="2" t="s">
        <v>46</v>
      </c>
      <c r="U9" s="2">
        <v>8</v>
      </c>
      <c r="V9" s="5">
        <v>0.070307</v>
      </c>
    </row>
    <row r="10" spans="19:22" ht="12.75" thickBot="1">
      <c r="S10" s="6">
        <v>9</v>
      </c>
      <c r="T10" s="7" t="s">
        <v>47</v>
      </c>
      <c r="U10" s="7">
        <v>9</v>
      </c>
      <c r="V10" s="8">
        <v>703.0695796</v>
      </c>
    </row>
    <row r="14" spans="1:11" ht="12">
      <c r="A14" s="13" t="s">
        <v>7</v>
      </c>
      <c r="B14" s="13" t="s">
        <v>39</v>
      </c>
      <c r="C14" s="13" t="s">
        <v>50</v>
      </c>
      <c r="D14" s="13" t="s">
        <v>39</v>
      </c>
      <c r="E14" s="13" t="s">
        <v>51</v>
      </c>
      <c r="F14" s="13" t="s">
        <v>39</v>
      </c>
      <c r="G14" s="13" t="s">
        <v>52</v>
      </c>
      <c r="H14" s="13" t="s">
        <v>39</v>
      </c>
      <c r="I14" s="13" t="s">
        <v>27</v>
      </c>
      <c r="J14" s="13"/>
      <c r="K14" s="13" t="s">
        <v>39</v>
      </c>
    </row>
    <row r="15" spans="1:11" ht="12">
      <c r="A15">
        <f>B1*(1/3)</f>
        <v>5</v>
      </c>
      <c r="B15" s="15">
        <f aca="true" t="shared" si="0" ref="B15:B20">(1742.7904*POWER(A15/$B$3,1.852)*POWER($B$2,-4.87)*$B$4)*(0.3448+0.5/$B$5+0.15811/POWER($B$5,2))</f>
        <v>0.02098148826259881</v>
      </c>
      <c r="C15" s="15">
        <f>B2*2/3</f>
        <v>4</v>
      </c>
      <c r="D15" s="16">
        <f>(1742.7904*POWER($B$1/$B$3,1.852)*POWER(C15,-4.87)*$B$4)*(0.3448+0.5/$B$5+0.15811/POWER($B$5,2))</f>
        <v>1.1561902048431505</v>
      </c>
      <c r="E15">
        <f>E16-10</f>
        <v>140</v>
      </c>
      <c r="F15" s="15">
        <f>(1742.7904*POWER($B$1/E15,1.852)*POWER($B$2,-4.87)*$B$4)*(0.3448+0.5/$B$5+0.15811/POWER($B$5,2))</f>
        <v>0.18237140495425033</v>
      </c>
      <c r="G15" s="15">
        <f>B4/4</f>
        <v>29</v>
      </c>
      <c r="H15" s="15">
        <f>(1742.7904*POWER($B$1/$B$3,1.852)*POWER($B$2,-4.87)*G15)*(0.3448+0.5/$B$5+0.15811/POWER($B$5,2))</f>
        <v>0.04012405922833374</v>
      </c>
      <c r="I15" s="15">
        <f>B5/3</f>
        <v>55.23809523809524</v>
      </c>
      <c r="K15" s="1">
        <f aca="true" t="shared" si="1" ref="K15:K20">(1742.7904*POWER($B$1/$B$3,1.852)*POWER($B$2,-4.87)*$B$4)*(0.3448+0.5/I15+0.15811/POWER(I15,2))</f>
        <v>0.163301986756217</v>
      </c>
    </row>
    <row r="16" spans="1:11" ht="12">
      <c r="A16">
        <f>A15*2</f>
        <v>10</v>
      </c>
      <c r="B16" s="15">
        <f t="shared" si="0"/>
        <v>0.07574323368095946</v>
      </c>
      <c r="C16" s="15">
        <f>C15*1.5</f>
        <v>6</v>
      </c>
      <c r="D16" s="16">
        <f>(1742.7904*POWER($B$1/$B$3,1.852)*POWER(C16,-4.87)*$B$4)*(0.3448+0.5/$B$5+0.15811/POWER($B$5,2))</f>
        <v>0.16049623691333495</v>
      </c>
      <c r="E16">
        <f>B3</f>
        <v>150</v>
      </c>
      <c r="F16" s="15">
        <f>(1742.7904*POWER($B$1/E16,1.852)*POWER($B$2,-4.87)*$B$4)*(0.3448+0.5/$B$5+0.15811/POWER($B$5,2))</f>
        <v>0.16049623691333495</v>
      </c>
      <c r="G16" s="15">
        <f>G15*2</f>
        <v>58</v>
      </c>
      <c r="H16" s="15">
        <f aca="true" t="shared" si="2" ref="H16:H21">(1742.7904*POWER($B$1/$B$3,1.852)*POWER($B$2,-4.87)*G16)*(0.3448+0.5/$B$5+0.15811/POWER($B$5,2))</f>
        <v>0.08024811845666747</v>
      </c>
      <c r="I16" s="15">
        <f>I15*2</f>
        <v>110.47619047619048</v>
      </c>
      <c r="K16" s="1">
        <f t="shared" si="1"/>
        <v>0.16119568183307392</v>
      </c>
    </row>
    <row r="17" spans="1:11" ht="12">
      <c r="A17">
        <f>A15*3</f>
        <v>15</v>
      </c>
      <c r="B17" s="15">
        <f t="shared" si="0"/>
        <v>0.16049623691333495</v>
      </c>
      <c r="C17" s="15">
        <f>C15*2</f>
        <v>8</v>
      </c>
      <c r="D17" s="16">
        <f>(1742.7904*POWER($B$1/$B$3,1.852)*POWER(C17,-4.87)*$B$4)*(0.3448+0.5/$B$5+0.15811/POWER($B$5,2))</f>
        <v>0.039537864331850796</v>
      </c>
      <c r="E17">
        <f>E16+10</f>
        <v>160</v>
      </c>
      <c r="F17" s="15">
        <f>(1742.7904*POWER($B$1/E17,1.852)*POWER($B$2,-4.87)*$B$4)*(0.3448+0.5/$B$5+0.15811/POWER($B$5,2))</f>
        <v>0.14241497502277872</v>
      </c>
      <c r="G17" s="15">
        <f>G15*3</f>
        <v>87</v>
      </c>
      <c r="H17" s="15">
        <f t="shared" si="2"/>
        <v>0.1203721776850012</v>
      </c>
      <c r="I17" s="15">
        <f>I15*3</f>
        <v>165.71428571428572</v>
      </c>
      <c r="K17" s="1">
        <f t="shared" si="1"/>
        <v>0.16049623691333495</v>
      </c>
    </row>
    <row r="18" spans="1:11" ht="12">
      <c r="A18">
        <f>A15*4</f>
        <v>20</v>
      </c>
      <c r="B18" s="15">
        <f t="shared" si="0"/>
        <v>0.27343329398969096</v>
      </c>
      <c r="C18" s="15"/>
      <c r="D18" s="16"/>
      <c r="G18" s="15">
        <f>G15*4</f>
        <v>116</v>
      </c>
      <c r="H18" s="15">
        <f t="shared" si="2"/>
        <v>0.16049623691333495</v>
      </c>
      <c r="I18" s="15">
        <f>I15*4</f>
        <v>220.95238095238096</v>
      </c>
      <c r="K18" s="1">
        <f t="shared" si="1"/>
        <v>0.1601470125887108</v>
      </c>
    </row>
    <row r="19" spans="1:11" ht="12">
      <c r="A19">
        <f>A15*5</f>
        <v>25</v>
      </c>
      <c r="B19" s="15">
        <f t="shared" si="0"/>
        <v>0.41336027592122304</v>
      </c>
      <c r="E19" t="str">
        <f>VLOOKUP(E15,$O$2:$P$6,2,FALSE)</f>
        <v>Polietileno</v>
      </c>
      <c r="G19" s="15">
        <f>G15*5</f>
        <v>145</v>
      </c>
      <c r="H19" s="15">
        <f t="shared" si="2"/>
        <v>0.20062029614166868</v>
      </c>
      <c r="I19" s="15">
        <f>I15*5</f>
        <v>276.1904761904762</v>
      </c>
      <c r="K19" s="1">
        <f t="shared" si="1"/>
        <v>0.15993763739721484</v>
      </c>
    </row>
    <row r="20" spans="1:11" ht="12">
      <c r="A20">
        <f>A15*6</f>
        <v>30</v>
      </c>
      <c r="B20" s="15">
        <f t="shared" si="0"/>
        <v>0.5793918822770691</v>
      </c>
      <c r="E20" t="str">
        <f>VLOOKUP(E16,$O$2:$P$6,2,FALSE)</f>
        <v>PVC</v>
      </c>
      <c r="G20" s="15">
        <f>G15*6</f>
        <v>174</v>
      </c>
      <c r="H20" s="15">
        <f t="shared" si="2"/>
        <v>0.2407443553700024</v>
      </c>
      <c r="I20" s="15">
        <f>I15*6</f>
        <v>331.42857142857144</v>
      </c>
      <c r="K20" s="1">
        <f t="shared" si="1"/>
        <v>0.15979812035425028</v>
      </c>
    </row>
    <row r="21" spans="5:8" ht="12">
      <c r="E21" t="e">
        <f>VLOOKUP(E17,$O$2:$P$6,2,FALSE)</f>
        <v>#N/A</v>
      </c>
      <c r="G21" s="15">
        <f>G15*8</f>
        <v>232</v>
      </c>
      <c r="H21" s="15">
        <f t="shared" si="2"/>
        <v>0.3209924738266699</v>
      </c>
    </row>
    <row r="24" spans="1:2" ht="12">
      <c r="A24" t="s">
        <v>60</v>
      </c>
      <c r="B24" t="s">
        <v>62</v>
      </c>
    </row>
    <row r="25" spans="1:11" ht="12">
      <c r="A25" t="s">
        <v>54</v>
      </c>
      <c r="B25" t="s">
        <v>55</v>
      </c>
      <c r="C25" t="s">
        <v>56</v>
      </c>
      <c r="D25" t="s">
        <v>57</v>
      </c>
      <c r="E25" t="s">
        <v>58</v>
      </c>
      <c r="F25" t="s">
        <v>59</v>
      </c>
      <c r="G25" t="s">
        <v>67</v>
      </c>
      <c r="H25" t="s">
        <v>68</v>
      </c>
      <c r="I25" t="s">
        <v>69</v>
      </c>
      <c r="K25" t="s">
        <v>71</v>
      </c>
    </row>
    <row r="26" spans="1:11" ht="12">
      <c r="A26">
        <v>1.5</v>
      </c>
      <c r="C26">
        <v>44.5</v>
      </c>
      <c r="F26">
        <f>AVERAGE(B26:E26)</f>
        <v>44.5</v>
      </c>
      <c r="G26">
        <f>((F26/2000)^2)*PI()</f>
        <v>0.0015552847130677967</v>
      </c>
      <c r="H26">
        <f>($B$1/1000)/G26</f>
        <v>9.644536382288823</v>
      </c>
      <c r="I26">
        <f>(F26/1000)*H26*1000/0.000100307</f>
        <v>4278683.132900521</v>
      </c>
      <c r="K26" t="str">
        <f>IF(I26&lt;1000000,"Laminar","Turbulento")</f>
        <v>Turbulento</v>
      </c>
    </row>
    <row r="27" spans="1:11" ht="12">
      <c r="A27">
        <v>2</v>
      </c>
      <c r="B27">
        <v>54.3</v>
      </c>
      <c r="C27">
        <v>55.7</v>
      </c>
      <c r="D27">
        <v>56.7</v>
      </c>
      <c r="E27">
        <v>57.3</v>
      </c>
      <c r="F27">
        <f aca="true" t="shared" si="3" ref="F27:F32">AVERAGE(B27:E27)</f>
        <v>56</v>
      </c>
      <c r="G27">
        <f aca="true" t="shared" si="4" ref="G27:G32">((F27/2000)^2)*PI()</f>
        <v>0.002463008640414398</v>
      </c>
      <c r="H27">
        <f aca="true" t="shared" si="5" ref="H27:H32">($B$1/1000)/G27</f>
        <v>6.090112618312321</v>
      </c>
      <c r="I27">
        <f aca="true" t="shared" si="6" ref="I27:I32">(F27/1000)*H27*1000/0.000100307</f>
        <v>3400024.9895370207</v>
      </c>
      <c r="K27" t="str">
        <f aca="true" t="shared" si="7" ref="K27:K32">IF(I27&lt;1000000,"Laminar","Turbulento")</f>
        <v>Turbulento</v>
      </c>
    </row>
    <row r="28" spans="1:11" ht="12">
      <c r="A28">
        <v>2.5</v>
      </c>
      <c r="B28">
        <v>66</v>
      </c>
      <c r="C28">
        <v>67.4</v>
      </c>
      <c r="D28">
        <v>68.6</v>
      </c>
      <c r="E28">
        <v>69.4</v>
      </c>
      <c r="F28">
        <f t="shared" si="3"/>
        <v>67.85</v>
      </c>
      <c r="G28">
        <f t="shared" si="4"/>
        <v>0.0036156766564751685</v>
      </c>
      <c r="H28">
        <f t="shared" si="5"/>
        <v>4.1486010573254966</v>
      </c>
      <c r="I28">
        <f t="shared" si="6"/>
        <v>2806210.7503916468</v>
      </c>
      <c r="K28" t="str">
        <f t="shared" si="7"/>
        <v>Turbulento</v>
      </c>
    </row>
    <row r="29" spans="1:11" ht="12">
      <c r="A29">
        <v>3</v>
      </c>
      <c r="B29">
        <v>80.5</v>
      </c>
      <c r="C29">
        <v>82.1</v>
      </c>
      <c r="D29">
        <v>83.5</v>
      </c>
      <c r="E29">
        <v>84.5</v>
      </c>
      <c r="F29">
        <f t="shared" si="3"/>
        <v>82.65</v>
      </c>
      <c r="G29">
        <f t="shared" si="4"/>
        <v>0.005365072525626646</v>
      </c>
      <c r="H29">
        <f t="shared" si="5"/>
        <v>2.7958615523558064</v>
      </c>
      <c r="I29">
        <f t="shared" si="6"/>
        <v>2303707.1919428096</v>
      </c>
      <c r="K29" t="str">
        <f t="shared" si="7"/>
        <v>Turbulento</v>
      </c>
    </row>
    <row r="30" spans="1:11" ht="12">
      <c r="A30">
        <v>4</v>
      </c>
      <c r="B30">
        <v>103.5</v>
      </c>
      <c r="C30">
        <v>105.5</v>
      </c>
      <c r="D30">
        <v>107.3</v>
      </c>
      <c r="E30">
        <v>108.7</v>
      </c>
      <c r="F30">
        <f t="shared" si="3"/>
        <v>106.25</v>
      </c>
      <c r="G30">
        <f t="shared" si="4"/>
        <v>0.008866408953979004</v>
      </c>
      <c r="H30">
        <f t="shared" si="5"/>
        <v>1.6917784954266524</v>
      </c>
      <c r="I30">
        <f t="shared" si="6"/>
        <v>1792013.1709559832</v>
      </c>
      <c r="K30" t="str">
        <f t="shared" si="7"/>
        <v>Turbulento</v>
      </c>
    </row>
    <row r="31" spans="1:11" ht="12">
      <c r="A31">
        <v>6</v>
      </c>
      <c r="B31">
        <v>152.4</v>
      </c>
      <c r="C31">
        <v>155.3</v>
      </c>
      <c r="D31">
        <v>158.1</v>
      </c>
      <c r="E31">
        <v>160.1</v>
      </c>
      <c r="F31">
        <f t="shared" si="3"/>
        <v>156.47500000000002</v>
      </c>
      <c r="G31">
        <f t="shared" si="4"/>
        <v>0.019230022917716427</v>
      </c>
      <c r="H31">
        <f t="shared" si="5"/>
        <v>0.7800302716322116</v>
      </c>
      <c r="I31">
        <f t="shared" si="6"/>
        <v>1216816.7401442605</v>
      </c>
      <c r="K31" t="str">
        <f t="shared" si="7"/>
        <v>Turbulento</v>
      </c>
    </row>
    <row r="32" spans="1:11" ht="12">
      <c r="A32">
        <v>8</v>
      </c>
      <c r="C32">
        <v>202.3</v>
      </c>
      <c r="D32">
        <v>205.7</v>
      </c>
      <c r="E32">
        <v>208.5</v>
      </c>
      <c r="F32">
        <f t="shared" si="3"/>
        <v>205.5</v>
      </c>
      <c r="G32">
        <f t="shared" si="4"/>
        <v>0.03316756078981509</v>
      </c>
      <c r="H32">
        <f t="shared" si="5"/>
        <v>0.4522491145808382</v>
      </c>
      <c r="I32">
        <f t="shared" si="6"/>
        <v>926527.4910660498</v>
      </c>
      <c r="K32" t="str">
        <f t="shared" si="7"/>
        <v>Laminar</v>
      </c>
    </row>
    <row r="35" spans="1:2" ht="12">
      <c r="A35" t="s">
        <v>61</v>
      </c>
      <c r="B35" t="s">
        <v>62</v>
      </c>
    </row>
    <row r="36" spans="1:7" ht="12">
      <c r="A36" t="s">
        <v>54</v>
      </c>
      <c r="B36" t="s">
        <v>63</v>
      </c>
      <c r="C36" t="s">
        <v>64</v>
      </c>
      <c r="D36" t="s">
        <v>65</v>
      </c>
      <c r="E36" t="s">
        <v>66</v>
      </c>
      <c r="F36" t="s">
        <v>59</v>
      </c>
      <c r="G36" t="s">
        <v>67</v>
      </c>
    </row>
    <row r="37" spans="1:11" ht="12">
      <c r="A37">
        <v>100</v>
      </c>
      <c r="B37">
        <v>93.2</v>
      </c>
      <c r="C37">
        <v>95.2</v>
      </c>
      <c r="D37">
        <v>96.4</v>
      </c>
      <c r="F37">
        <f>AVERAGE(B37:E37)</f>
        <v>94.93333333333334</v>
      </c>
      <c r="G37">
        <f>((F37/2000)^2)*PI()</f>
        <v>0.007078273538584109</v>
      </c>
      <c r="H37">
        <f>($B$1/1000)/G37</f>
        <v>2.119160826186508</v>
      </c>
      <c r="I37">
        <f>(F37/1000)*H37*1000/0.000100307</f>
        <v>2005632.7185471188</v>
      </c>
      <c r="K37" t="str">
        <f>IF(I37&lt;1000000,"Laminar","Turbulento")</f>
        <v>Turbulento</v>
      </c>
    </row>
    <row r="38" spans="1:11" ht="12">
      <c r="A38">
        <v>160</v>
      </c>
      <c r="B38">
        <v>149</v>
      </c>
      <c r="C38">
        <v>152.2</v>
      </c>
      <c r="D38">
        <v>154.4</v>
      </c>
      <c r="E38">
        <v>156</v>
      </c>
      <c r="F38">
        <f>AVERAGE(B38:E38)</f>
        <v>152.9</v>
      </c>
      <c r="G38">
        <f>((F38/2000)^2)*PI()</f>
        <v>0.01836136027715254</v>
      </c>
      <c r="H38">
        <f>($B$1/1000)/G38</f>
        <v>0.8169329381693382</v>
      </c>
      <c r="I38">
        <f>(F38/1000)*H38*1000/0.000100307</f>
        <v>1245267.4912627416</v>
      </c>
      <c r="K38" t="str">
        <f>IF(I38&lt;1000000,"Laminar","Turbulento")</f>
        <v>Turbulento</v>
      </c>
    </row>
    <row r="39" spans="1:11" ht="12">
      <c r="A39">
        <v>200</v>
      </c>
      <c r="B39">
        <v>186.2</v>
      </c>
      <c r="C39">
        <v>190.2</v>
      </c>
      <c r="D39">
        <v>193</v>
      </c>
      <c r="E39">
        <v>195</v>
      </c>
      <c r="F39">
        <f>AVERAGE(B39:E39)</f>
        <v>191.1</v>
      </c>
      <c r="G39">
        <f>((F39/2000)^2)*PI()</f>
        <v>0.028682120462725724</v>
      </c>
      <c r="H39">
        <f>($B$1/1000)/G39</f>
        <v>0.5229738861006972</v>
      </c>
      <c r="I39">
        <f>(F39/1000)*H39*1000/0.000100307</f>
        <v>996344.3192782479</v>
      </c>
      <c r="K39" t="str">
        <f>IF(I39&lt;1000000,"Laminar","Turbulento")</f>
        <v>Laminar</v>
      </c>
    </row>
    <row r="40" spans="1:11" ht="12">
      <c r="A40">
        <v>250</v>
      </c>
      <c r="B40">
        <v>232.8</v>
      </c>
      <c r="C40">
        <v>237.8</v>
      </c>
      <c r="D40">
        <v>241.2</v>
      </c>
      <c r="E40">
        <v>243.8</v>
      </c>
      <c r="F40">
        <f>AVERAGE(B40:E40)</f>
        <v>238.89999999999998</v>
      </c>
      <c r="G40">
        <f>((F40/2000)^2)*PI()</f>
        <v>0.04482519431319687</v>
      </c>
      <c r="H40">
        <f>($B$1/1000)/G40</f>
        <v>0.3346332398515423</v>
      </c>
      <c r="I40">
        <f>(F40/1000)*H40*1000/0.000100307</f>
        <v>796992.0444289375</v>
      </c>
      <c r="K40" t="str">
        <f>IF(I40&lt;1000000,"Laminar","Turbulento")</f>
        <v>Laminar</v>
      </c>
    </row>
  </sheetData>
  <sheetProtection password="C3DA" sheet="1" objects="1" scenarios="1" selectLockedCells="1" selectUnlockedCells="1"/>
  <mergeCells count="4">
    <mergeCell ref="I1:K1"/>
    <mergeCell ref="L1:N1"/>
    <mergeCell ref="T1:V1"/>
    <mergeCell ref="O1:R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5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00390625" style="17" customWidth="1"/>
    <col min="2" max="2" width="24.140625" style="17" customWidth="1"/>
    <col min="3" max="3" width="13.28125" style="17" customWidth="1"/>
    <col min="4" max="4" width="6.140625" style="17" customWidth="1"/>
    <col min="5" max="5" width="20.7109375" style="17" bestFit="1" customWidth="1"/>
    <col min="6" max="6" width="9.140625" style="17" customWidth="1"/>
    <col min="7" max="7" width="6.7109375" style="17" customWidth="1"/>
    <col min="8" max="8" width="9.7109375" style="17" customWidth="1"/>
    <col min="9" max="9" width="8.140625" style="17" customWidth="1"/>
    <col min="10" max="13" width="9.140625" style="17" customWidth="1"/>
    <col min="14" max="14" width="4.7109375" style="17" customWidth="1"/>
    <col min="15" max="16384" width="9.140625" style="17" customWidth="1"/>
  </cols>
  <sheetData>
    <row r="1" ht="14.25" customHeight="1">
      <c r="A1" s="22" t="s">
        <v>53</v>
      </c>
    </row>
    <row r="2" ht="9" customHeight="1"/>
    <row r="3" spans="1:4" ht="18">
      <c r="A3" s="23" t="s">
        <v>37</v>
      </c>
      <c r="C3" s="24">
        <f>Cuentas!B6</f>
        <v>0.16049623691333495</v>
      </c>
      <c r="D3" s="17" t="s">
        <v>38</v>
      </c>
    </row>
    <row r="4" spans="3:4" ht="12.75">
      <c r="C4" s="24">
        <f>Cuentas!B7</f>
        <v>0.22827917122524777</v>
      </c>
      <c r="D4" s="17" t="s">
        <v>39</v>
      </c>
    </row>
    <row r="5" spans="2:3" ht="23.25">
      <c r="B5" s="25">
        <f>Cuentas!B9</f>
        <v>0.016049623691333493</v>
      </c>
      <c r="C5" s="26" t="str">
        <f>Cuentas!C9</f>
        <v>Kg/cm^2</v>
      </c>
    </row>
    <row r="6" ht="12.75"/>
    <row r="7" ht="12.75"/>
    <row r="8" ht="12.75"/>
    <row r="9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1:5" ht="39" customHeight="1" thickBot="1">
      <c r="A39" s="35" t="s">
        <v>54</v>
      </c>
      <c r="B39" s="35" t="s">
        <v>70</v>
      </c>
      <c r="C39" s="35" t="s">
        <v>69</v>
      </c>
      <c r="D39" s="35"/>
      <c r="E39" s="35" t="s">
        <v>71</v>
      </c>
    </row>
    <row r="40" spans="1:5" ht="20.25">
      <c r="A40" s="31" t="s">
        <v>72</v>
      </c>
      <c r="B40" s="32">
        <f>Cuentas!H26</f>
        <v>9.644536382288823</v>
      </c>
      <c r="C40" s="33">
        <f>Cuentas!I26</f>
        <v>4278683.132900521</v>
      </c>
      <c r="D40" s="34"/>
      <c r="E40" s="34" t="str">
        <f>Cuentas!K26</f>
        <v>Turbulento</v>
      </c>
    </row>
    <row r="41" spans="1:5" ht="20.25">
      <c r="A41" s="27" t="s">
        <v>73</v>
      </c>
      <c r="B41" s="28">
        <f>Cuentas!H27</f>
        <v>6.090112618312321</v>
      </c>
      <c r="C41" s="29">
        <f>Cuentas!I27</f>
        <v>3400024.9895370207</v>
      </c>
      <c r="D41" s="30"/>
      <c r="E41" s="30" t="str">
        <f>Cuentas!K27</f>
        <v>Turbulento</v>
      </c>
    </row>
    <row r="42" spans="1:5" ht="20.25">
      <c r="A42" s="27" t="s">
        <v>74</v>
      </c>
      <c r="B42" s="28">
        <f>Cuentas!H28</f>
        <v>4.1486010573254966</v>
      </c>
      <c r="C42" s="29">
        <f>Cuentas!I28</f>
        <v>2806210.7503916468</v>
      </c>
      <c r="D42" s="30"/>
      <c r="E42" s="30" t="str">
        <f>Cuentas!K28</f>
        <v>Turbulento</v>
      </c>
    </row>
    <row r="43" spans="1:5" ht="20.25">
      <c r="A43" s="27" t="s">
        <v>75</v>
      </c>
      <c r="B43" s="28">
        <f>Cuentas!H29</f>
        <v>2.7958615523558064</v>
      </c>
      <c r="C43" s="29">
        <f>Cuentas!I29</f>
        <v>2303707.1919428096</v>
      </c>
      <c r="D43" s="30"/>
      <c r="E43" s="30" t="str">
        <f>Cuentas!K29</f>
        <v>Turbulento</v>
      </c>
    </row>
    <row r="44" spans="1:5" ht="20.25">
      <c r="A44" s="27" t="s">
        <v>76</v>
      </c>
      <c r="B44" s="28">
        <f>Cuentas!H30</f>
        <v>1.6917784954266524</v>
      </c>
      <c r="C44" s="29">
        <f>Cuentas!I30</f>
        <v>1792013.1709559832</v>
      </c>
      <c r="D44" s="30"/>
      <c r="E44" s="30" t="str">
        <f>Cuentas!K30</f>
        <v>Turbulento</v>
      </c>
    </row>
    <row r="45" spans="1:5" ht="20.25">
      <c r="A45" s="27" t="s">
        <v>77</v>
      </c>
      <c r="B45" s="28">
        <f>Cuentas!H31</f>
        <v>0.7800302716322116</v>
      </c>
      <c r="C45" s="29">
        <f>Cuentas!I31</f>
        <v>1216816.7401442605</v>
      </c>
      <c r="D45" s="30"/>
      <c r="E45" s="30" t="str">
        <f>Cuentas!K31</f>
        <v>Turbulento</v>
      </c>
    </row>
    <row r="46" spans="1:5" ht="20.25">
      <c r="A46" s="27" t="s">
        <v>78</v>
      </c>
      <c r="B46" s="28">
        <f>Cuentas!H32</f>
        <v>0.4522491145808382</v>
      </c>
      <c r="C46" s="29">
        <f>Cuentas!I32</f>
        <v>926527.4910660498</v>
      </c>
      <c r="D46" s="30"/>
      <c r="E46" s="30" t="str">
        <f>Cuentas!K32</f>
        <v>Laminar</v>
      </c>
    </row>
    <row r="47" spans="1:5" ht="20.25">
      <c r="A47" s="27" t="s">
        <v>79</v>
      </c>
      <c r="B47" s="28">
        <f>Cuentas!H37</f>
        <v>2.119160826186508</v>
      </c>
      <c r="C47" s="29">
        <f>Cuentas!I37</f>
        <v>2005632.7185471188</v>
      </c>
      <c r="D47" s="30"/>
      <c r="E47" s="30" t="str">
        <f>Cuentas!K37</f>
        <v>Turbulento</v>
      </c>
    </row>
    <row r="48" spans="1:5" ht="20.25">
      <c r="A48" s="27" t="s">
        <v>80</v>
      </c>
      <c r="B48" s="28">
        <f>Cuentas!H38</f>
        <v>0.8169329381693382</v>
      </c>
      <c r="C48" s="29">
        <f>Cuentas!I38</f>
        <v>1245267.4912627416</v>
      </c>
      <c r="D48" s="30"/>
      <c r="E48" s="30" t="str">
        <f>Cuentas!K38</f>
        <v>Turbulento</v>
      </c>
    </row>
    <row r="49" spans="1:5" ht="20.25">
      <c r="A49" s="27" t="s">
        <v>81</v>
      </c>
      <c r="B49" s="28">
        <f>Cuentas!H39</f>
        <v>0.5229738861006972</v>
      </c>
      <c r="C49" s="29">
        <f>Cuentas!I39</f>
        <v>996344.3192782479</v>
      </c>
      <c r="D49" s="30"/>
      <c r="E49" s="30" t="str">
        <f>Cuentas!K39</f>
        <v>Laminar</v>
      </c>
    </row>
    <row r="50" spans="1:5" ht="20.25">
      <c r="A50" s="27" t="s">
        <v>82</v>
      </c>
      <c r="B50" s="28">
        <f>Cuentas!H40</f>
        <v>0.3346332398515423</v>
      </c>
      <c r="C50" s="29">
        <f>Cuentas!I40</f>
        <v>796992.0444289375</v>
      </c>
      <c r="D50" s="30"/>
      <c r="E50" s="30" t="str">
        <f>Cuentas!K40</f>
        <v>Laminar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 password="C3DA" sheet="1" objects="1" scenarios="1" selectLockedCells="1" selectUnlockedCells="1"/>
  <printOptions/>
  <pageMargins left="0.75" right="0.75" top="1" bottom="1" header="0.5" footer="0.5"/>
  <pageSetup horizontalDpi="300" verticalDpi="3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DAPPSA de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Federico Andrade Meijueiro</dc:creator>
  <cp:keywords>Hazzen Williams</cp:keywords>
  <dc:description/>
  <cp:lastModifiedBy>Luis Federico Andrade Meijueiro</cp:lastModifiedBy>
  <dcterms:created xsi:type="dcterms:W3CDTF">2004-08-06T20:11:02Z</dcterms:created>
  <dcterms:modified xsi:type="dcterms:W3CDTF">2015-04-22T01:23:17Z</dcterms:modified>
  <cp:category>Ingeniería de Sistemas de Riego</cp:category>
  <cp:version/>
  <cp:contentType/>
  <cp:contentStatus/>
</cp:coreProperties>
</file>